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5" yWindow="60" windowWidth="21840" windowHeight="13680" tabRatio="500"/>
  </bookViews>
  <sheets>
    <sheet name="Sheet1" sheetId="1" r:id="rId1"/>
    <sheet name="Sheet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11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1" i="1"/>
  <c r="I12" i="1"/>
  <c r="I13" i="1"/>
  <c r="I14" i="1"/>
  <c r="I15" i="1"/>
  <c r="I16" i="1"/>
  <c r="I17" i="1"/>
  <c r="I18" i="1"/>
  <c r="I19" i="1"/>
  <c r="I20" i="1"/>
  <c r="I21" i="1"/>
  <c r="I22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27" i="1"/>
  <c r="G27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D11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7" i="1"/>
  <c r="E13" i="1"/>
  <c r="E12" i="1"/>
  <c r="E14" i="1"/>
  <c r="E15" i="1"/>
  <c r="E16" i="1"/>
  <c r="E17" i="1"/>
  <c r="E18" i="1"/>
  <c r="E19" i="1"/>
  <c r="E20" i="1"/>
  <c r="E21" i="1"/>
  <c r="E22" i="1"/>
  <c r="E11" i="1"/>
  <c r="D48" i="1"/>
  <c r="E48" i="1"/>
  <c r="D49" i="1"/>
  <c r="E49" i="1"/>
  <c r="D50" i="1"/>
  <c r="E50" i="1"/>
  <c r="D52" i="1"/>
  <c r="E52" i="1"/>
  <c r="D51" i="1"/>
  <c r="E51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D47" i="1"/>
  <c r="E47" i="1"/>
  <c r="N64" i="1"/>
  <c r="O64" i="1"/>
  <c r="N61" i="1"/>
  <c r="O61" i="1"/>
  <c r="N58" i="1"/>
  <c r="O58" i="1"/>
  <c r="N53" i="1"/>
  <c r="O53" i="1"/>
  <c r="N51" i="1"/>
  <c r="O51" i="1"/>
  <c r="N47" i="1"/>
  <c r="O47" i="1"/>
  <c r="S36" i="1"/>
  <c r="T36" i="1"/>
  <c r="M36" i="1"/>
  <c r="O36" i="1"/>
  <c r="S37" i="1"/>
  <c r="T37" i="1"/>
  <c r="M37" i="1"/>
  <c r="O37" i="1"/>
  <c r="S38" i="1"/>
  <c r="T38" i="1"/>
  <c r="M38" i="1"/>
  <c r="O38" i="1"/>
  <c r="S39" i="1"/>
  <c r="T39" i="1"/>
  <c r="M39" i="1"/>
  <c r="O39" i="1"/>
  <c r="S40" i="1"/>
  <c r="T40" i="1"/>
  <c r="M40" i="1"/>
  <c r="O40" i="1"/>
  <c r="S35" i="1"/>
  <c r="T35" i="1"/>
  <c r="M35" i="1"/>
  <c r="N35" i="1"/>
  <c r="O35" i="1"/>
  <c r="S28" i="1"/>
  <c r="T28" i="1"/>
  <c r="M28" i="1"/>
  <c r="O28" i="1"/>
  <c r="S29" i="1"/>
  <c r="T29" i="1"/>
  <c r="M29" i="1"/>
  <c r="O29" i="1"/>
  <c r="S30" i="1"/>
  <c r="T30" i="1"/>
  <c r="M30" i="1"/>
  <c r="O30" i="1"/>
  <c r="S31" i="1"/>
  <c r="T31" i="1"/>
  <c r="M31" i="1"/>
  <c r="O31" i="1"/>
  <c r="S32" i="1"/>
  <c r="T32" i="1"/>
  <c r="M32" i="1"/>
  <c r="O32" i="1"/>
  <c r="S33" i="1"/>
  <c r="T33" i="1"/>
  <c r="M33" i="1"/>
  <c r="O33" i="1"/>
  <c r="S34" i="1"/>
  <c r="T34" i="1"/>
  <c r="M34" i="1"/>
  <c r="O34" i="1"/>
  <c r="S27" i="1"/>
  <c r="T27" i="1"/>
  <c r="M27" i="1"/>
  <c r="M61" i="1"/>
  <c r="N27" i="1"/>
  <c r="O27" i="1"/>
  <c r="S13" i="1"/>
  <c r="T13" i="1"/>
  <c r="M13" i="1"/>
  <c r="O13" i="1"/>
  <c r="S14" i="1"/>
  <c r="T14" i="1"/>
  <c r="M14" i="1"/>
  <c r="O14" i="1"/>
  <c r="S15" i="1"/>
  <c r="T15" i="1"/>
  <c r="M15" i="1"/>
  <c r="O15" i="1"/>
  <c r="S16" i="1"/>
  <c r="T16" i="1"/>
  <c r="M16" i="1"/>
  <c r="O16" i="1"/>
  <c r="S17" i="1"/>
  <c r="T17" i="1"/>
  <c r="M17" i="1"/>
  <c r="O17" i="1"/>
  <c r="S18" i="1"/>
  <c r="T18" i="1"/>
  <c r="M18" i="1"/>
  <c r="O18" i="1"/>
  <c r="S19" i="1"/>
  <c r="T19" i="1"/>
  <c r="M19" i="1"/>
  <c r="O19" i="1"/>
  <c r="S20" i="1"/>
  <c r="T20" i="1"/>
  <c r="M20" i="1"/>
  <c r="O20" i="1"/>
  <c r="S21" i="1"/>
  <c r="T21" i="1"/>
  <c r="M21" i="1"/>
  <c r="O21" i="1"/>
  <c r="S22" i="1"/>
  <c r="T22" i="1"/>
  <c r="M22" i="1"/>
  <c r="O22" i="1"/>
  <c r="S12" i="1"/>
  <c r="T12" i="1"/>
  <c r="M12" i="1"/>
  <c r="N12" i="1"/>
  <c r="O12" i="1"/>
  <c r="S11" i="1"/>
  <c r="T11" i="1"/>
  <c r="M51" i="1"/>
  <c r="N11" i="1"/>
  <c r="M11" i="1"/>
  <c r="O11" i="1"/>
  <c r="M47" i="1"/>
  <c r="M64" i="1"/>
  <c r="M58" i="1"/>
  <c r="M53" i="1"/>
  <c r="C22" i="1"/>
  <c r="C21" i="1"/>
  <c r="C20" i="1"/>
  <c r="C19" i="1"/>
  <c r="C18" i="1"/>
  <c r="C17" i="1"/>
  <c r="C16" i="1"/>
  <c r="C15" i="1"/>
  <c r="C14" i="1"/>
  <c r="C13" i="1"/>
  <c r="C12" i="1"/>
  <c r="C11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</calcChain>
</file>

<file path=xl/sharedStrings.xml><?xml version="1.0" encoding="utf-8"?>
<sst xmlns="http://schemas.openxmlformats.org/spreadsheetml/2006/main" count="122" uniqueCount="61">
  <si>
    <t>Chris</t>
  </si>
  <si>
    <t>Mitch</t>
  </si>
  <si>
    <t>Tim</t>
  </si>
  <si>
    <t>Reader</t>
  </si>
  <si>
    <t>Tino</t>
  </si>
  <si>
    <t>Patrick</t>
  </si>
  <si>
    <t>No.</t>
  </si>
  <si>
    <t>Time Measure 2, Rel. to Basestation (s)</t>
  </si>
  <si>
    <t>Time Reading 1, Rel. First Basestation Recording (s)</t>
  </si>
  <si>
    <t>Brandon</t>
  </si>
  <si>
    <t>Darrell</t>
  </si>
  <si>
    <t>Kenechi</t>
  </si>
  <si>
    <t>MAY 1. Times Relative to 12:11 pm</t>
  </si>
  <si>
    <t>Reading 1</t>
  </si>
  <si>
    <t>Reading 2</t>
  </si>
  <si>
    <t>Avg. Reading</t>
  </si>
  <si>
    <t>MAY 2. Times Relative to 1:06 pm</t>
  </si>
  <si>
    <t>Basestation</t>
  </si>
  <si>
    <t>Location</t>
  </si>
  <si>
    <t>U14</t>
  </si>
  <si>
    <t>5554170 m N</t>
  </si>
  <si>
    <t>645585 m E</t>
  </si>
  <si>
    <t>Date</t>
  </si>
  <si>
    <t>Absolute Time</t>
  </si>
  <si>
    <t>Time Relative to Base Time (s)</t>
  </si>
  <si>
    <t>Reading</t>
  </si>
  <si>
    <t>Location:</t>
  </si>
  <si>
    <t>Selkirk, Highway 67, NE shoulder of road, along the ditch</t>
  </si>
  <si>
    <t>Date:</t>
  </si>
  <si>
    <t>Instrument:</t>
  </si>
  <si>
    <t>Survey Type:</t>
  </si>
  <si>
    <t>Profile Start:</t>
  </si>
  <si>
    <t xml:space="preserve">Railway Tracks </t>
  </si>
  <si>
    <t>14U</t>
  </si>
  <si>
    <t>0647723 m E</t>
  </si>
  <si>
    <t>5553305 m N</t>
  </si>
  <si>
    <t>Profile End:</t>
  </si>
  <si>
    <t>May 1-2, 2014</t>
  </si>
  <si>
    <t>Worden Gravimeter</t>
  </si>
  <si>
    <t>Gravity Profile</t>
  </si>
  <si>
    <t>4532 m NW along Highway 67</t>
  </si>
  <si>
    <t>0643857 m E</t>
  </si>
  <si>
    <t>5555745 m N</t>
  </si>
  <si>
    <t>Distance SE from Group A Start (m)</t>
  </si>
  <si>
    <t>Distance NW from Train Tracks (m)</t>
  </si>
  <si>
    <t>Average Base Time (min)</t>
  </si>
  <si>
    <t>Average Reading</t>
  </si>
  <si>
    <t>Avg. Time (min)</t>
  </si>
  <si>
    <t>Time</t>
  </si>
  <si>
    <t>Day 1</t>
  </si>
  <si>
    <r>
      <t>Drift in grav/time (</t>
    </r>
    <r>
      <rPr>
        <b/>
        <sz val="12"/>
        <color theme="1"/>
        <rFont val="Calibri"/>
        <family val="2"/>
      </rPr>
      <t>Δ</t>
    </r>
    <r>
      <rPr>
        <b/>
        <sz val="12"/>
        <color theme="1"/>
        <rFont val="Calibri"/>
        <family val="2"/>
        <scheme val="minor"/>
      </rPr>
      <t>GU/min)</t>
    </r>
  </si>
  <si>
    <t>Avg Reading (GU)</t>
  </si>
  <si>
    <t>Drift Corrected</t>
  </si>
  <si>
    <t>Latitude Correction</t>
  </si>
  <si>
    <t>Height of Gravimeter (m)</t>
  </si>
  <si>
    <t>Instrument Height Correction</t>
  </si>
  <si>
    <t>Height of Gravimeter Baseplate (m)</t>
  </si>
  <si>
    <t>Delta X</t>
  </si>
  <si>
    <t>Elevation Change (m)</t>
  </si>
  <si>
    <t>Final Corrected Gravity</t>
  </si>
  <si>
    <t>Bouger + Elevation Correction (GU)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</si>
</sst>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3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H4" zoomScale="55" zoomScaleNormal="55" workbookViewId="0">
      <selection activeCell="J11" sqref="J11:J40"/>
    </sheetView>
  </sheetViews>
  <sheetFormatPr defaultColWidth="11" defaultRowHeight="15.75" x14ac:dyDescent="0.25"/>
  <cols>
    <col min="1" max="1" width="16.875" style="5" customWidth="1"/>
    <col min="2" max="2" width="49.375" style="5" customWidth="1"/>
    <col min="3" max="3" width="44.25" style="5" customWidth="1"/>
    <col min="4" max="4" width="46.5" style="5" customWidth="1"/>
    <col min="5" max="8" width="36.75" style="5" customWidth="1"/>
    <col min="9" max="9" width="44.5" style="5" bestFit="1" customWidth="1"/>
    <col min="10" max="10" width="36.75" style="5" customWidth="1"/>
    <col min="11" max="11" width="64.875" style="5" bestFit="1" customWidth="1"/>
    <col min="12" max="12" width="49.875" style="5" bestFit="1" customWidth="1"/>
    <col min="13" max="13" width="33.75" style="5" bestFit="1" customWidth="1"/>
    <col min="14" max="14" width="35.125" style="5" bestFit="1" customWidth="1"/>
    <col min="15" max="15" width="22.875" style="5" bestFit="1" customWidth="1"/>
    <col min="16" max="16" width="10.125" style="5" bestFit="1" customWidth="1"/>
    <col min="17" max="17" width="17.625" style="5" bestFit="1" customWidth="1"/>
    <col min="18" max="18" width="16.125" style="5" customWidth="1"/>
    <col min="19" max="19" width="17.375" style="5" bestFit="1" customWidth="1"/>
    <col min="20" max="20" width="22.875" style="5" customWidth="1"/>
    <col min="21" max="21" width="25.125" style="5" bestFit="1" customWidth="1"/>
    <col min="22" max="22" width="5.625" style="5" customWidth="1"/>
    <col min="23" max="23" width="6.5" style="5" customWidth="1"/>
    <col min="24" max="24" width="11" style="5"/>
    <col min="25" max="25" width="22" style="5" customWidth="1"/>
    <col min="26" max="16384" width="11" style="5"/>
  </cols>
  <sheetData>
    <row r="1" spans="1:20" x14ac:dyDescent="0.25">
      <c r="A1" s="3" t="s">
        <v>26</v>
      </c>
      <c r="B1" s="4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x14ac:dyDescent="0.25">
      <c r="A2" s="3" t="s">
        <v>28</v>
      </c>
      <c r="B2" s="6" t="s">
        <v>37</v>
      </c>
      <c r="C2" s="4"/>
      <c r="D2" s="4"/>
      <c r="E2" s="4"/>
      <c r="F2" s="4"/>
      <c r="G2" s="4"/>
      <c r="H2" s="4"/>
      <c r="I2" s="4"/>
      <c r="J2" s="4"/>
      <c r="K2" s="4"/>
      <c r="L2" s="4" t="s">
        <v>34</v>
      </c>
      <c r="M2" s="4" t="s">
        <v>35</v>
      </c>
      <c r="N2" s="4"/>
      <c r="O2" s="4"/>
    </row>
    <row r="3" spans="1:20" x14ac:dyDescent="0.25">
      <c r="A3" s="3" t="s">
        <v>29</v>
      </c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 t="s">
        <v>41</v>
      </c>
      <c r="M3" s="4" t="s">
        <v>42</v>
      </c>
      <c r="N3" s="4"/>
      <c r="O3" s="4"/>
    </row>
    <row r="4" spans="1:20" x14ac:dyDescent="0.25">
      <c r="A4" s="3" t="s">
        <v>30</v>
      </c>
      <c r="B4" s="4" t="s">
        <v>39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x14ac:dyDescent="0.25">
      <c r="A5" s="3" t="s">
        <v>31</v>
      </c>
      <c r="B5" s="4" t="s">
        <v>32</v>
      </c>
      <c r="C5" s="4" t="s">
        <v>33</v>
      </c>
    </row>
    <row r="6" spans="1:20" x14ac:dyDescent="0.25">
      <c r="A6" s="3" t="s">
        <v>36</v>
      </c>
      <c r="B6" s="4" t="s">
        <v>40</v>
      </c>
      <c r="C6" s="4" t="s">
        <v>33</v>
      </c>
    </row>
    <row r="7" spans="1:20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spans="1:20" x14ac:dyDescent="0.25">
      <c r="A9" s="1"/>
      <c r="B9" s="18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7" customFormat="1" x14ac:dyDescent="0.25">
      <c r="A10" s="7" t="s">
        <v>6</v>
      </c>
      <c r="B10" s="7" t="s">
        <v>43</v>
      </c>
      <c r="C10" s="7" t="s">
        <v>44</v>
      </c>
      <c r="D10" s="7" t="s">
        <v>56</v>
      </c>
      <c r="E10" s="7" t="s">
        <v>55</v>
      </c>
      <c r="F10" s="7" t="s">
        <v>57</v>
      </c>
      <c r="G10" s="7" t="s">
        <v>53</v>
      </c>
      <c r="H10" s="7" t="s">
        <v>58</v>
      </c>
      <c r="I10" s="7" t="s">
        <v>60</v>
      </c>
      <c r="J10" s="7" t="s">
        <v>59</v>
      </c>
      <c r="K10" s="7" t="s">
        <v>8</v>
      </c>
      <c r="L10" s="7" t="s">
        <v>7</v>
      </c>
      <c r="M10" s="7" t="s">
        <v>47</v>
      </c>
      <c r="N10" s="7" t="s">
        <v>50</v>
      </c>
      <c r="O10" s="7" t="s">
        <v>52</v>
      </c>
      <c r="P10" s="7" t="s">
        <v>3</v>
      </c>
      <c r="Q10" s="7" t="s">
        <v>13</v>
      </c>
      <c r="R10" s="7" t="s">
        <v>14</v>
      </c>
      <c r="S10" s="7" t="s">
        <v>15</v>
      </c>
      <c r="T10" s="7" t="s">
        <v>51</v>
      </c>
    </row>
    <row r="11" spans="1:20" x14ac:dyDescent="0.25">
      <c r="A11" s="5">
        <v>1</v>
      </c>
      <c r="B11" s="5">
        <v>0</v>
      </c>
      <c r="C11" s="5">
        <f t="shared" ref="C11:C20" si="0">C12+200</f>
        <v>4532</v>
      </c>
      <c r="D11" s="5">
        <f>(41/1000)</f>
        <v>4.1000000000000002E-2</v>
      </c>
      <c r="E11" s="5">
        <f>3.086*D11</f>
        <v>0.126526</v>
      </c>
      <c r="F11" s="5">
        <f>((4507-200*A11)*SIN(32.26))</f>
        <v>3218.861518240064</v>
      </c>
      <c r="G11" s="5">
        <f>(-8.136*SIN(2*50.1436)*(F11/1000))</f>
        <v>6.3208403255630374</v>
      </c>
      <c r="H11" s="5">
        <v>2.8319999999999999</v>
      </c>
      <c r="I11" s="5">
        <f>((3.086-(4.193*10^(-4))*2500)*H11)</f>
        <v>5.7709079999999995</v>
      </c>
      <c r="J11" s="17">
        <f>O11-E11+G11+I11</f>
        <v>8939.7159458645347</v>
      </c>
      <c r="K11" s="5">
        <v>1740</v>
      </c>
      <c r="L11" s="5">
        <v>1850</v>
      </c>
      <c r="M11" s="14">
        <f t="shared" ref="M11:M22" si="1">AVERAGE(K11:L11)/60</f>
        <v>29.916666666666668</v>
      </c>
      <c r="N11" s="16">
        <f>(N51-N47)/(M51)</f>
        <v>-0.12898390659514042</v>
      </c>
      <c r="O11" s="16">
        <f>(T11-(N11*M11))</f>
        <v>8927.7507235389712</v>
      </c>
      <c r="P11" s="5" t="s">
        <v>9</v>
      </c>
      <c r="Q11" s="5">
        <v>1940.4</v>
      </c>
      <c r="R11" s="5">
        <v>1939.3</v>
      </c>
      <c r="S11" s="5">
        <f>AVERAGE(Q11:R11)</f>
        <v>1939.85</v>
      </c>
      <c r="T11" s="5">
        <f>S11*4.6003</f>
        <v>8923.8919549999991</v>
      </c>
    </row>
    <row r="12" spans="1:20" x14ac:dyDescent="0.25">
      <c r="A12" s="5">
        <v>2</v>
      </c>
      <c r="B12" s="5">
        <v>200</v>
      </c>
      <c r="C12" s="5">
        <f t="shared" si="0"/>
        <v>4332</v>
      </c>
      <c r="D12" s="5">
        <v>5.1999999999999998E-2</v>
      </c>
      <c r="E12" s="5">
        <f t="shared" ref="E12:E22" si="2">3.086*D12</f>
        <v>0.16047199999999998</v>
      </c>
      <c r="F12" s="5">
        <f t="shared" ref="F12:F21" si="3">((4507-200*A12)*SIN(32.26))</f>
        <v>3069.3903541704067</v>
      </c>
      <c r="G12" s="5">
        <f t="shared" ref="G12:G22" si="4">(-8.136*SIN(2*50.1436)*(F12/1000))</f>
        <v>6.0273255670042705</v>
      </c>
      <c r="H12" s="5">
        <v>2.6219999999999999</v>
      </c>
      <c r="I12" s="5">
        <f t="shared" ref="I12:I22" si="5">((3.086-(4.193*10^(-4))*2500)*H12)</f>
        <v>5.3429804999999995</v>
      </c>
      <c r="J12" s="17">
        <f t="shared" ref="J12:J22" si="6">O12-E12+G12+I12</f>
        <v>8877.2595726384316</v>
      </c>
      <c r="K12" s="5">
        <v>8150</v>
      </c>
      <c r="L12" s="5">
        <v>8218</v>
      </c>
      <c r="M12" s="14">
        <f t="shared" si="1"/>
        <v>136.4</v>
      </c>
      <c r="N12" s="20">
        <f>(N53-N51)/140</f>
        <v>1.4285714285712662E-2</v>
      </c>
      <c r="O12" s="16">
        <f>(T12-(M12*N12))</f>
        <v>8866.049738571428</v>
      </c>
      <c r="P12" s="5" t="s">
        <v>9</v>
      </c>
      <c r="Q12" s="5">
        <v>1927.5</v>
      </c>
      <c r="R12" s="5">
        <v>1927.9</v>
      </c>
      <c r="S12" s="5">
        <f t="shared" ref="S12:S22" si="7">AVERAGE(Q12:R12)</f>
        <v>1927.7</v>
      </c>
      <c r="T12" s="5">
        <f t="shared" ref="T12:T22" si="8">S12*4.6003</f>
        <v>8867.998309999999</v>
      </c>
    </row>
    <row r="13" spans="1:20" x14ac:dyDescent="0.25">
      <c r="A13" s="5">
        <v>3</v>
      </c>
      <c r="B13" s="5">
        <v>400</v>
      </c>
      <c r="C13" s="5">
        <f t="shared" si="0"/>
        <v>4132</v>
      </c>
      <c r="E13" s="5">
        <f t="shared" si="2"/>
        <v>0</v>
      </c>
      <c r="F13" s="5">
        <f t="shared" si="3"/>
        <v>2919.9191901007498</v>
      </c>
      <c r="G13" s="5">
        <f t="shared" si="4"/>
        <v>5.7338108084455044</v>
      </c>
      <c r="H13" s="5">
        <v>2.5019999999999998</v>
      </c>
      <c r="I13" s="5">
        <f t="shared" si="5"/>
        <v>5.0984504999999993</v>
      </c>
      <c r="J13" s="17">
        <f t="shared" si="6"/>
        <v>8879.750631308445</v>
      </c>
      <c r="K13" s="5">
        <v>8617</v>
      </c>
      <c r="L13" s="5">
        <v>8660</v>
      </c>
      <c r="M13" s="14">
        <f t="shared" si="1"/>
        <v>143.97499999999999</v>
      </c>
      <c r="N13" s="20"/>
      <c r="O13" s="16">
        <f t="shared" ref="O13:O22" si="9">(T13-(M13*N13))</f>
        <v>8868.9183699999994</v>
      </c>
      <c r="P13" s="5" t="s">
        <v>10</v>
      </c>
      <c r="Q13" s="5">
        <v>1928</v>
      </c>
      <c r="R13" s="5">
        <v>1927.8</v>
      </c>
      <c r="S13" s="5">
        <f t="shared" si="7"/>
        <v>1927.9</v>
      </c>
      <c r="T13" s="5">
        <f t="shared" si="8"/>
        <v>8868.9183699999994</v>
      </c>
    </row>
    <row r="14" spans="1:20" x14ac:dyDescent="0.25">
      <c r="A14" s="5">
        <v>4</v>
      </c>
      <c r="B14" s="5">
        <v>600</v>
      </c>
      <c r="C14" s="5">
        <f t="shared" si="0"/>
        <v>3932</v>
      </c>
      <c r="D14" s="5">
        <v>6.5000000000000002E-2</v>
      </c>
      <c r="E14" s="5">
        <f t="shared" si="2"/>
        <v>0.20058999999999999</v>
      </c>
      <c r="F14" s="5">
        <f t="shared" si="3"/>
        <v>2770.4480260310929</v>
      </c>
      <c r="G14" s="5">
        <f t="shared" si="4"/>
        <v>5.4402960498867374</v>
      </c>
      <c r="H14" s="5">
        <v>2.262</v>
      </c>
      <c r="I14" s="5">
        <f t="shared" si="5"/>
        <v>4.6093904999999999</v>
      </c>
      <c r="J14" s="17">
        <f t="shared" si="6"/>
        <v>8881.0676165498862</v>
      </c>
      <c r="K14" s="5">
        <v>9391</v>
      </c>
      <c r="L14" s="5">
        <v>9447</v>
      </c>
      <c r="M14" s="14">
        <f t="shared" si="1"/>
        <v>156.98333333333332</v>
      </c>
      <c r="N14" s="20"/>
      <c r="O14" s="16">
        <f t="shared" si="9"/>
        <v>8871.2185200000004</v>
      </c>
      <c r="P14" s="5" t="s">
        <v>10</v>
      </c>
      <c r="Q14" s="5">
        <v>1930.2</v>
      </c>
      <c r="R14" s="5">
        <v>1926.6</v>
      </c>
      <c r="S14" s="5">
        <f t="shared" si="7"/>
        <v>1928.4</v>
      </c>
      <c r="T14" s="5">
        <f t="shared" si="8"/>
        <v>8871.2185200000004</v>
      </c>
    </row>
    <row r="15" spans="1:20" x14ac:dyDescent="0.25">
      <c r="A15" s="5">
        <v>5</v>
      </c>
      <c r="B15" s="5">
        <v>800</v>
      </c>
      <c r="C15" s="5">
        <f t="shared" si="0"/>
        <v>3732</v>
      </c>
      <c r="D15" s="5">
        <v>4.5999999999999999E-2</v>
      </c>
      <c r="E15" s="5">
        <f t="shared" si="2"/>
        <v>0.141956</v>
      </c>
      <c r="F15" s="5">
        <f t="shared" si="3"/>
        <v>2620.9768619614356</v>
      </c>
      <c r="G15" s="5">
        <f t="shared" si="4"/>
        <v>5.1467812913279714</v>
      </c>
      <c r="H15" s="5">
        <v>2.0619999999999998</v>
      </c>
      <c r="I15" s="5">
        <f t="shared" si="5"/>
        <v>4.2018404999999994</v>
      </c>
      <c r="J15" s="17">
        <f t="shared" si="6"/>
        <v>8902.2766107913285</v>
      </c>
      <c r="K15" s="5">
        <v>10119</v>
      </c>
      <c r="L15" s="5">
        <v>10140</v>
      </c>
      <c r="M15" s="14">
        <f t="shared" si="1"/>
        <v>168.82499999999999</v>
      </c>
      <c r="N15" s="20"/>
      <c r="O15" s="16">
        <f t="shared" si="9"/>
        <v>8893.0699449999993</v>
      </c>
      <c r="P15" s="5" t="s">
        <v>10</v>
      </c>
      <c r="Q15" s="5">
        <v>1933.2</v>
      </c>
      <c r="R15" s="5">
        <v>1933.1</v>
      </c>
      <c r="S15" s="5">
        <f t="shared" si="7"/>
        <v>1933.15</v>
      </c>
      <c r="T15" s="5">
        <f t="shared" si="8"/>
        <v>8893.0699449999993</v>
      </c>
    </row>
    <row r="16" spans="1:20" x14ac:dyDescent="0.25">
      <c r="A16" s="5">
        <v>6</v>
      </c>
      <c r="B16" s="5">
        <v>1000</v>
      </c>
      <c r="C16" s="5">
        <f t="shared" si="0"/>
        <v>3532</v>
      </c>
      <c r="D16" s="5">
        <v>0.05</v>
      </c>
      <c r="E16" s="5">
        <f t="shared" si="2"/>
        <v>0.15429999999999999</v>
      </c>
      <c r="F16" s="5">
        <f t="shared" si="3"/>
        <v>2471.5056978917787</v>
      </c>
      <c r="G16" s="5">
        <f t="shared" si="4"/>
        <v>4.8532665327692044</v>
      </c>
      <c r="H16" s="5">
        <v>1.962</v>
      </c>
      <c r="I16" s="5">
        <f t="shared" si="5"/>
        <v>3.9980655</v>
      </c>
      <c r="J16" s="17">
        <f t="shared" si="6"/>
        <v>8903.8371120327683</v>
      </c>
      <c r="K16" s="5">
        <v>10689</v>
      </c>
      <c r="L16" s="5">
        <v>10722</v>
      </c>
      <c r="M16" s="14">
        <f t="shared" si="1"/>
        <v>178.42500000000001</v>
      </c>
      <c r="N16" s="20"/>
      <c r="O16" s="16">
        <f t="shared" si="9"/>
        <v>8895.1400799999992</v>
      </c>
      <c r="P16" s="5" t="s">
        <v>10</v>
      </c>
      <c r="Q16" s="5">
        <v>1934</v>
      </c>
      <c r="R16" s="5">
        <v>1933.2</v>
      </c>
      <c r="S16" s="5">
        <f t="shared" si="7"/>
        <v>1933.6</v>
      </c>
      <c r="T16" s="5">
        <f t="shared" si="8"/>
        <v>8895.1400799999992</v>
      </c>
    </row>
    <row r="17" spans="1:20" x14ac:dyDescent="0.25">
      <c r="A17" s="5">
        <v>7</v>
      </c>
      <c r="B17" s="5">
        <v>1200</v>
      </c>
      <c r="C17" s="5">
        <f t="shared" si="0"/>
        <v>3332</v>
      </c>
      <c r="D17" s="5">
        <v>5.8000000000000003E-2</v>
      </c>
      <c r="E17" s="5">
        <f t="shared" si="2"/>
        <v>0.17898800000000001</v>
      </c>
      <c r="F17" s="5">
        <f t="shared" si="3"/>
        <v>2322.0345338221218</v>
      </c>
      <c r="G17" s="5">
        <f t="shared" si="4"/>
        <v>4.5597517742104383</v>
      </c>
      <c r="H17" s="5">
        <v>1.502</v>
      </c>
      <c r="I17" s="5">
        <f t="shared" si="5"/>
        <v>3.0607004999999998</v>
      </c>
      <c r="J17" s="17">
        <f t="shared" si="6"/>
        <v>8908.5619342742102</v>
      </c>
      <c r="K17" s="5">
        <v>11157</v>
      </c>
      <c r="L17" s="5">
        <v>11180</v>
      </c>
      <c r="M17" s="14">
        <f t="shared" si="1"/>
        <v>186.14166666666668</v>
      </c>
      <c r="N17" s="20"/>
      <c r="O17" s="16">
        <f t="shared" si="9"/>
        <v>8901.1204699999998</v>
      </c>
      <c r="P17" s="5" t="s">
        <v>10</v>
      </c>
      <c r="Q17" s="5">
        <v>1935.1</v>
      </c>
      <c r="R17" s="5">
        <v>1934.7</v>
      </c>
      <c r="S17" s="5">
        <f t="shared" si="7"/>
        <v>1934.9</v>
      </c>
      <c r="T17" s="5">
        <f t="shared" si="8"/>
        <v>8901.1204699999998</v>
      </c>
    </row>
    <row r="18" spans="1:20" x14ac:dyDescent="0.25">
      <c r="A18" s="5">
        <v>8</v>
      </c>
      <c r="B18" s="5">
        <v>1400</v>
      </c>
      <c r="C18" s="5">
        <f t="shared" si="0"/>
        <v>3132</v>
      </c>
      <c r="D18" s="5">
        <v>5.3999999999999999E-2</v>
      </c>
      <c r="E18" s="5">
        <f t="shared" si="2"/>
        <v>0.16664399999999999</v>
      </c>
      <c r="F18" s="5">
        <f t="shared" si="3"/>
        <v>2172.5633697524645</v>
      </c>
      <c r="G18" s="5">
        <f t="shared" si="4"/>
        <v>4.2662370156516705</v>
      </c>
      <c r="H18" s="5">
        <v>1.974</v>
      </c>
      <c r="I18" s="5">
        <f t="shared" si="5"/>
        <v>4.0225184999999994</v>
      </c>
      <c r="J18" s="17">
        <f t="shared" si="6"/>
        <v>8917.5231215156509</v>
      </c>
      <c r="K18" s="5">
        <v>11654</v>
      </c>
      <c r="L18" s="5">
        <v>11680</v>
      </c>
      <c r="M18" s="14">
        <f t="shared" si="1"/>
        <v>194.45</v>
      </c>
      <c r="N18" s="20"/>
      <c r="O18" s="16">
        <f t="shared" si="9"/>
        <v>8909.4010099999996</v>
      </c>
      <c r="P18" s="5" t="s">
        <v>10</v>
      </c>
      <c r="Q18" s="5">
        <v>1936.1</v>
      </c>
      <c r="R18" s="5">
        <v>1937.3</v>
      </c>
      <c r="S18" s="5">
        <f t="shared" si="7"/>
        <v>1936.6999999999998</v>
      </c>
      <c r="T18" s="5">
        <f t="shared" si="8"/>
        <v>8909.4010099999996</v>
      </c>
    </row>
    <row r="19" spans="1:20" x14ac:dyDescent="0.25">
      <c r="A19" s="5">
        <v>9</v>
      </c>
      <c r="B19" s="5">
        <v>1600</v>
      </c>
      <c r="C19" s="5">
        <f t="shared" si="0"/>
        <v>2932</v>
      </c>
      <c r="D19" s="5">
        <v>0.06</v>
      </c>
      <c r="E19" s="5">
        <f t="shared" si="2"/>
        <v>0.18515999999999999</v>
      </c>
      <c r="F19" s="5">
        <f t="shared" si="3"/>
        <v>2023.0922056828076</v>
      </c>
      <c r="G19" s="5">
        <f t="shared" si="4"/>
        <v>3.9727222570929048</v>
      </c>
      <c r="H19" s="5">
        <v>1.8740000000000001</v>
      </c>
      <c r="I19" s="5">
        <f t="shared" si="5"/>
        <v>3.8187435000000001</v>
      </c>
      <c r="J19" s="17">
        <f t="shared" si="6"/>
        <v>8924.5978107570918</v>
      </c>
      <c r="K19" s="5">
        <v>12164</v>
      </c>
      <c r="L19" s="5">
        <v>12200</v>
      </c>
      <c r="M19" s="14">
        <f t="shared" si="1"/>
        <v>203.03333333333333</v>
      </c>
      <c r="N19" s="20"/>
      <c r="O19" s="16">
        <f t="shared" si="9"/>
        <v>8916.991505</v>
      </c>
      <c r="P19" s="5" t="s">
        <v>10</v>
      </c>
      <c r="Q19" s="5">
        <v>1937.6</v>
      </c>
      <c r="R19" s="5">
        <v>1939.1</v>
      </c>
      <c r="S19" s="5">
        <f t="shared" si="7"/>
        <v>1938.35</v>
      </c>
      <c r="T19" s="5">
        <f t="shared" si="8"/>
        <v>8916.991505</v>
      </c>
    </row>
    <row r="20" spans="1:20" x14ac:dyDescent="0.25">
      <c r="A20" s="5">
        <v>10</v>
      </c>
      <c r="B20" s="5">
        <v>1800</v>
      </c>
      <c r="C20" s="5">
        <f t="shared" si="0"/>
        <v>2732</v>
      </c>
      <c r="D20" s="5">
        <v>7.5999999999999998E-2</v>
      </c>
      <c r="E20" s="5">
        <f t="shared" si="2"/>
        <v>0.23453599999999999</v>
      </c>
      <c r="F20" s="5">
        <f t="shared" si="3"/>
        <v>1873.6210416131507</v>
      </c>
      <c r="G20" s="5">
        <f t="shared" si="4"/>
        <v>3.6792074985341383</v>
      </c>
      <c r="H20" s="5">
        <v>2.1040000000000001</v>
      </c>
      <c r="I20" s="5">
        <f t="shared" si="5"/>
        <v>4.287426</v>
      </c>
      <c r="J20" s="17">
        <f t="shared" si="6"/>
        <v>8929.5539174985333</v>
      </c>
      <c r="K20" s="5">
        <v>12706</v>
      </c>
      <c r="L20" s="5">
        <v>12742</v>
      </c>
      <c r="M20" s="14">
        <f t="shared" si="1"/>
        <v>212.06666666666666</v>
      </c>
      <c r="N20" s="20"/>
      <c r="O20" s="16">
        <f t="shared" si="9"/>
        <v>8921.8218199999992</v>
      </c>
      <c r="P20" s="5" t="s">
        <v>10</v>
      </c>
      <c r="Q20" s="5">
        <v>1939.3</v>
      </c>
      <c r="R20" s="5">
        <v>1939.5</v>
      </c>
      <c r="S20" s="5">
        <f t="shared" si="7"/>
        <v>1939.4</v>
      </c>
      <c r="T20" s="5">
        <f t="shared" si="8"/>
        <v>8921.8218199999992</v>
      </c>
    </row>
    <row r="21" spans="1:20" x14ac:dyDescent="0.25">
      <c r="A21" s="5">
        <v>11</v>
      </c>
      <c r="B21" s="5">
        <v>2000</v>
      </c>
      <c r="C21" s="5">
        <f>C22+200</f>
        <v>2532</v>
      </c>
      <c r="D21" s="5">
        <v>6.5000000000000002E-2</v>
      </c>
      <c r="E21" s="5">
        <f t="shared" si="2"/>
        <v>0.20058999999999999</v>
      </c>
      <c r="F21" s="5">
        <f t="shared" si="3"/>
        <v>1724.1498775434936</v>
      </c>
      <c r="G21" s="5">
        <f t="shared" si="4"/>
        <v>3.3856927399753718</v>
      </c>
      <c r="H21" s="5">
        <v>1.974</v>
      </c>
      <c r="I21" s="5">
        <f t="shared" si="5"/>
        <v>4.0225184999999994</v>
      </c>
      <c r="J21" s="17">
        <f t="shared" si="6"/>
        <v>8935.009831239975</v>
      </c>
      <c r="K21" s="5">
        <v>13370</v>
      </c>
      <c r="L21" s="5">
        <v>13413</v>
      </c>
      <c r="M21" s="14">
        <f t="shared" si="1"/>
        <v>223.19166666666666</v>
      </c>
      <c r="N21" s="20"/>
      <c r="O21" s="16">
        <f t="shared" si="9"/>
        <v>8927.8022099999998</v>
      </c>
      <c r="P21" s="5" t="s">
        <v>11</v>
      </c>
      <c r="Q21" s="5">
        <v>1939.5</v>
      </c>
      <c r="R21" s="5">
        <v>1941.9</v>
      </c>
      <c r="S21" s="5">
        <f t="shared" si="7"/>
        <v>1940.7</v>
      </c>
      <c r="T21" s="5">
        <f t="shared" si="8"/>
        <v>8927.8022099999998</v>
      </c>
    </row>
    <row r="22" spans="1:20" x14ac:dyDescent="0.25">
      <c r="A22" s="5">
        <v>12</v>
      </c>
      <c r="B22" s="5">
        <v>2200</v>
      </c>
      <c r="C22" s="5">
        <f>2332</f>
        <v>2332</v>
      </c>
      <c r="D22" s="5">
        <v>6.8000000000000005E-2</v>
      </c>
      <c r="E22" s="5">
        <f t="shared" si="2"/>
        <v>0.20984800000000001</v>
      </c>
      <c r="F22" s="5">
        <f>((4507-200*A22)*SIN(32.26))</f>
        <v>1574.6787134738368</v>
      </c>
      <c r="G22" s="5">
        <f t="shared" si="4"/>
        <v>3.0921779814166053</v>
      </c>
      <c r="H22" s="5">
        <v>1.794</v>
      </c>
      <c r="I22" s="5">
        <f t="shared" si="5"/>
        <v>3.6557235000000001</v>
      </c>
      <c r="J22" s="17">
        <f t="shared" si="6"/>
        <v>8931.8100984814155</v>
      </c>
      <c r="K22" s="5">
        <v>13908</v>
      </c>
      <c r="L22" s="5">
        <v>13968</v>
      </c>
      <c r="M22" s="14">
        <f t="shared" si="1"/>
        <v>232.3</v>
      </c>
      <c r="N22" s="20"/>
      <c r="O22" s="16">
        <f t="shared" si="9"/>
        <v>8925.2720449999997</v>
      </c>
      <c r="P22" s="5" t="s">
        <v>11</v>
      </c>
      <c r="Q22" s="5">
        <v>1939.7</v>
      </c>
      <c r="R22" s="5">
        <v>1940.6</v>
      </c>
      <c r="S22" s="5">
        <f t="shared" si="7"/>
        <v>1940.15</v>
      </c>
      <c r="T22" s="5">
        <f t="shared" si="8"/>
        <v>8925.2720449999997</v>
      </c>
    </row>
    <row r="25" spans="1:20" x14ac:dyDescent="0.25">
      <c r="A25" s="1"/>
      <c r="B25" s="1"/>
      <c r="C25" s="1"/>
      <c r="D25" s="1"/>
      <c r="E25" s="1"/>
      <c r="F25" s="1"/>
      <c r="G25" s="1"/>
      <c r="H25" s="2"/>
      <c r="I25" s="2"/>
      <c r="J25" s="2"/>
      <c r="K25" s="1"/>
      <c r="L25" s="1"/>
      <c r="M25" s="1" t="s">
        <v>16</v>
      </c>
      <c r="N25" s="1"/>
      <c r="O25" s="1"/>
      <c r="P25" s="1"/>
      <c r="Q25" s="1"/>
      <c r="R25" s="1"/>
      <c r="S25" s="1"/>
      <c r="T25" s="1"/>
    </row>
    <row r="26" spans="1:20" x14ac:dyDescent="0.25">
      <c r="A26" s="7" t="s">
        <v>6</v>
      </c>
      <c r="B26" s="7" t="s">
        <v>43</v>
      </c>
      <c r="C26" s="7" t="s">
        <v>44</v>
      </c>
      <c r="D26" s="7" t="s">
        <v>56</v>
      </c>
      <c r="E26" s="7" t="s">
        <v>55</v>
      </c>
      <c r="F26" s="7" t="s">
        <v>57</v>
      </c>
      <c r="G26" s="7" t="s">
        <v>53</v>
      </c>
      <c r="H26" s="7" t="s">
        <v>58</v>
      </c>
      <c r="I26" s="7" t="s">
        <v>60</v>
      </c>
      <c r="J26" s="7"/>
      <c r="K26" s="7" t="s">
        <v>8</v>
      </c>
      <c r="L26" s="7" t="s">
        <v>7</v>
      </c>
      <c r="M26" s="7" t="s">
        <v>47</v>
      </c>
      <c r="N26" s="7" t="s">
        <v>50</v>
      </c>
      <c r="O26" s="7" t="s">
        <v>52</v>
      </c>
      <c r="P26" s="7" t="s">
        <v>3</v>
      </c>
      <c r="Q26" s="7" t="s">
        <v>13</v>
      </c>
      <c r="R26" s="7" t="s">
        <v>14</v>
      </c>
      <c r="S26" s="7" t="s">
        <v>15</v>
      </c>
      <c r="T26" s="7" t="s">
        <v>51</v>
      </c>
    </row>
    <row r="27" spans="1:20" x14ac:dyDescent="0.25">
      <c r="A27" s="5">
        <v>13</v>
      </c>
      <c r="B27" s="5">
        <v>2200</v>
      </c>
      <c r="C27" s="5">
        <f t="shared" ref="C27:C39" si="10">4532-B27</f>
        <v>2332</v>
      </c>
      <c r="D27" s="5">
        <v>8.5999999999999993E-2</v>
      </c>
      <c r="E27" s="5">
        <f>3.086*D27</f>
        <v>0.26539599999999997</v>
      </c>
      <c r="F27" s="5">
        <f>((4507-200*A22)*SIN(32.26))</f>
        <v>1574.6787134738368</v>
      </c>
      <c r="G27" s="5">
        <f>(-8.136*SIN(2*50.1436)*(F27/1000))</f>
        <v>3.0921779814166053</v>
      </c>
      <c r="H27" s="5">
        <v>1.794</v>
      </c>
      <c r="I27" s="5">
        <f>((3.086-(4.193*10^(-4))*2500)*H27)</f>
        <v>3.6557235000000001</v>
      </c>
      <c r="J27" s="17">
        <f>O27-E27+G27+I27</f>
        <v>8940.7106432499349</v>
      </c>
      <c r="K27" s="5">
        <v>1570</v>
      </c>
      <c r="L27" s="5">
        <v>1648</v>
      </c>
      <c r="M27" s="14">
        <f t="shared" ref="M27:M40" si="11">AVERAGE(K27:L27)/60</f>
        <v>26.816666666666666</v>
      </c>
      <c r="N27" s="20">
        <f>(N61-N58)/M61</f>
        <v>5.4041882459040819E-4</v>
      </c>
      <c r="O27" s="16">
        <f>(T27-(M27*N27))</f>
        <v>8934.2281377685194</v>
      </c>
      <c r="P27" s="5" t="s">
        <v>0</v>
      </c>
      <c r="Q27" s="5">
        <v>1942.9</v>
      </c>
      <c r="R27" s="5">
        <v>1941.3</v>
      </c>
      <c r="S27" s="5">
        <f>AVERAGE(Q27:R27)</f>
        <v>1942.1</v>
      </c>
      <c r="T27" s="5">
        <f>S27*4.6003</f>
        <v>8934.2426299999988</v>
      </c>
    </row>
    <row r="28" spans="1:20" x14ac:dyDescent="0.25">
      <c r="A28" s="5">
        <v>14</v>
      </c>
      <c r="B28" s="5">
        <v>2232</v>
      </c>
      <c r="C28" s="5">
        <f t="shared" si="10"/>
        <v>2300</v>
      </c>
      <c r="D28" s="5">
        <v>8.4000000000000005E-2</v>
      </c>
      <c r="E28" s="5">
        <f t="shared" ref="E28:E40" si="12">3.086*D28</f>
        <v>0.25922400000000001</v>
      </c>
      <c r="F28" s="5">
        <f>((4507-2232)*SIN(32.26))</f>
        <v>1700.2344912923486</v>
      </c>
      <c r="G28" s="5">
        <f t="shared" ref="G28:G40" si="13">(-8.136*SIN(2*50.1436)*(F28/1000))</f>
        <v>3.3387303786059692</v>
      </c>
      <c r="H28" s="5">
        <v>1.764</v>
      </c>
      <c r="I28" s="5">
        <f t="shared" ref="I28:I40" si="14">((3.086-(4.193*10^(-4))*2500)*H28)</f>
        <v>3.5945909999999999</v>
      </c>
      <c r="J28" s="17">
        <f t="shared" ref="J28:J40" si="15">O28-E28+G28+I28</f>
        <v>8939.9966673786057</v>
      </c>
      <c r="K28" s="5">
        <v>2036</v>
      </c>
      <c r="L28" s="5">
        <v>2091</v>
      </c>
      <c r="M28" s="14">
        <f t="shared" si="11"/>
        <v>34.391666666666666</v>
      </c>
      <c r="N28" s="20"/>
      <c r="O28" s="16">
        <f t="shared" ref="O28:O34" si="16">(T28-(M28*N28))</f>
        <v>8933.3225700000003</v>
      </c>
      <c r="P28" s="5" t="s">
        <v>0</v>
      </c>
      <c r="Q28" s="5">
        <v>1941.9</v>
      </c>
      <c r="R28" s="5">
        <v>1941.9</v>
      </c>
      <c r="S28" s="5">
        <f t="shared" ref="S28:S40" si="17">AVERAGE(Q28:R28)</f>
        <v>1941.9</v>
      </c>
      <c r="T28" s="5">
        <f t="shared" ref="T28:T40" si="18">S28*4.6003</f>
        <v>8933.3225700000003</v>
      </c>
    </row>
    <row r="29" spans="1:20" x14ac:dyDescent="0.25">
      <c r="A29" s="5">
        <v>15</v>
      </c>
      <c r="B29" s="5">
        <v>2432</v>
      </c>
      <c r="C29" s="5">
        <f t="shared" si="10"/>
        <v>2100</v>
      </c>
      <c r="D29" s="5">
        <v>8.4000000000000005E-2</v>
      </c>
      <c r="E29" s="5">
        <f t="shared" si="12"/>
        <v>0.25922400000000001</v>
      </c>
      <c r="F29" s="5">
        <f>((4507-2432)*SIN(32.26))</f>
        <v>1550.7633272226915</v>
      </c>
      <c r="G29" s="5">
        <f t="shared" si="13"/>
        <v>3.0452156200472027</v>
      </c>
      <c r="H29" s="5">
        <v>1.5089999999999999</v>
      </c>
      <c r="I29" s="5">
        <f t="shared" si="14"/>
        <v>3.0749647499999999</v>
      </c>
      <c r="J29" s="17">
        <f t="shared" si="15"/>
        <v>8936.6533613700485</v>
      </c>
      <c r="K29" s="5">
        <v>2790</v>
      </c>
      <c r="L29" s="5">
        <v>2886</v>
      </c>
      <c r="M29" s="14">
        <f t="shared" si="11"/>
        <v>47.3</v>
      </c>
      <c r="N29" s="20"/>
      <c r="O29" s="16">
        <f t="shared" si="16"/>
        <v>8930.7924050000001</v>
      </c>
      <c r="P29" s="5" t="s">
        <v>0</v>
      </c>
      <c r="Q29" s="5">
        <v>1941.1</v>
      </c>
      <c r="R29" s="5">
        <v>1941.6</v>
      </c>
      <c r="S29" s="5">
        <f t="shared" si="17"/>
        <v>1941.35</v>
      </c>
      <c r="T29" s="5">
        <f t="shared" si="18"/>
        <v>8930.7924050000001</v>
      </c>
    </row>
    <row r="30" spans="1:20" x14ac:dyDescent="0.25">
      <c r="A30" s="5">
        <v>16</v>
      </c>
      <c r="B30" s="5">
        <v>2632</v>
      </c>
      <c r="C30" s="5">
        <f t="shared" si="10"/>
        <v>1900</v>
      </c>
      <c r="D30" s="5">
        <v>6.5000000000000002E-2</v>
      </c>
      <c r="E30" s="5">
        <f t="shared" si="12"/>
        <v>0.20058999999999999</v>
      </c>
      <c r="F30" s="5">
        <f>((4507-2632)*SIN(32.26))</f>
        <v>1401.2921631530346</v>
      </c>
      <c r="G30" s="5">
        <f t="shared" si="13"/>
        <v>2.7517008614884362</v>
      </c>
      <c r="H30" s="5">
        <v>1.3640000000000001</v>
      </c>
      <c r="I30" s="5">
        <f t="shared" si="14"/>
        <v>2.7794910000000002</v>
      </c>
      <c r="J30" s="17">
        <f t="shared" si="15"/>
        <v>8947.623756861487</v>
      </c>
      <c r="K30" s="5">
        <v>4004</v>
      </c>
      <c r="L30" s="5">
        <v>4101</v>
      </c>
      <c r="M30" s="14">
        <f t="shared" si="11"/>
        <v>67.541666666666671</v>
      </c>
      <c r="N30" s="20"/>
      <c r="O30" s="16">
        <f t="shared" si="16"/>
        <v>8942.2931549999994</v>
      </c>
      <c r="P30" s="5" t="s">
        <v>0</v>
      </c>
      <c r="Q30" s="5">
        <v>1943.8</v>
      </c>
      <c r="R30" s="5">
        <v>1943.9</v>
      </c>
      <c r="S30" s="5">
        <f t="shared" si="17"/>
        <v>1943.85</v>
      </c>
      <c r="T30" s="5">
        <f t="shared" si="18"/>
        <v>8942.2931549999994</v>
      </c>
    </row>
    <row r="31" spans="1:20" x14ac:dyDescent="0.25">
      <c r="A31" s="5">
        <v>17</v>
      </c>
      <c r="B31" s="5">
        <v>2832</v>
      </c>
      <c r="C31" s="5">
        <f t="shared" si="10"/>
        <v>1700</v>
      </c>
      <c r="D31" s="5">
        <v>6.8000000000000005E-2</v>
      </c>
      <c r="E31" s="5">
        <f t="shared" si="12"/>
        <v>0.20984800000000001</v>
      </c>
      <c r="F31" s="5">
        <f>((4507-2832)*SIN(32.26))</f>
        <v>1251.8209990833775</v>
      </c>
      <c r="G31" s="5">
        <f t="shared" si="13"/>
        <v>2.4581861029296697</v>
      </c>
      <c r="H31" s="5">
        <v>0.79400000000000004</v>
      </c>
      <c r="I31" s="5">
        <f t="shared" si="14"/>
        <v>1.6179735</v>
      </c>
      <c r="J31" s="17">
        <f t="shared" si="15"/>
        <v>8948.4596166029278</v>
      </c>
      <c r="K31" s="5">
        <v>4472</v>
      </c>
      <c r="L31" s="5">
        <v>4580</v>
      </c>
      <c r="M31" s="14">
        <f t="shared" si="11"/>
        <v>75.433333333333337</v>
      </c>
      <c r="N31" s="20"/>
      <c r="O31" s="16">
        <f t="shared" si="16"/>
        <v>8944.5933049999985</v>
      </c>
      <c r="P31" s="5" t="s">
        <v>0</v>
      </c>
      <c r="Q31" s="5">
        <v>1944.9</v>
      </c>
      <c r="R31" s="5">
        <v>1943.8</v>
      </c>
      <c r="S31" s="5">
        <f t="shared" si="17"/>
        <v>1944.35</v>
      </c>
      <c r="T31" s="5">
        <f t="shared" si="18"/>
        <v>8944.5933049999985</v>
      </c>
    </row>
    <row r="32" spans="1:20" x14ac:dyDescent="0.25">
      <c r="A32" s="5">
        <v>18</v>
      </c>
      <c r="B32" s="5">
        <v>3032</v>
      </c>
      <c r="C32" s="5">
        <f t="shared" si="10"/>
        <v>1500</v>
      </c>
      <c r="D32" s="5">
        <v>7.0999999999999994E-2</v>
      </c>
      <c r="E32" s="5">
        <f t="shared" si="12"/>
        <v>0.21910599999999997</v>
      </c>
      <c r="F32" s="5">
        <f>((4507-3032)*SIN(32.26))</f>
        <v>1102.3498350137204</v>
      </c>
      <c r="G32" s="5">
        <f t="shared" si="13"/>
        <v>2.1646713443709031</v>
      </c>
      <c r="H32" s="5">
        <v>0.56000000000000005</v>
      </c>
      <c r="I32" s="5">
        <f t="shared" si="14"/>
        <v>1.14114</v>
      </c>
      <c r="J32" s="17">
        <f t="shared" si="15"/>
        <v>8945.149845344371</v>
      </c>
      <c r="K32" s="5">
        <v>4990</v>
      </c>
      <c r="L32" s="5">
        <v>5212</v>
      </c>
      <c r="M32" s="14">
        <f t="shared" si="11"/>
        <v>85.016666666666666</v>
      </c>
      <c r="N32" s="20"/>
      <c r="O32" s="16">
        <f t="shared" si="16"/>
        <v>8942.0631400000002</v>
      </c>
      <c r="P32" s="5" t="s">
        <v>0</v>
      </c>
      <c r="Q32" s="5">
        <v>1943.8</v>
      </c>
      <c r="R32" s="5">
        <v>1943.8</v>
      </c>
      <c r="S32" s="5">
        <f t="shared" si="17"/>
        <v>1943.8</v>
      </c>
      <c r="T32" s="5">
        <f t="shared" si="18"/>
        <v>8942.0631400000002</v>
      </c>
    </row>
    <row r="33" spans="1:20" x14ac:dyDescent="0.25">
      <c r="A33" s="5">
        <v>19</v>
      </c>
      <c r="B33" s="5">
        <v>3232</v>
      </c>
      <c r="C33" s="5">
        <f t="shared" si="10"/>
        <v>1300</v>
      </c>
      <c r="D33" s="5">
        <v>8.4000000000000005E-2</v>
      </c>
      <c r="E33" s="5">
        <f t="shared" si="12"/>
        <v>0.25922400000000001</v>
      </c>
      <c r="F33" s="5">
        <f>((4507-3232)*SIN(32.26))</f>
        <v>952.87867094406351</v>
      </c>
      <c r="G33" s="5">
        <f t="shared" si="13"/>
        <v>1.8711565858121366</v>
      </c>
      <c r="H33" s="5">
        <v>0</v>
      </c>
      <c r="I33" s="5">
        <f t="shared" si="14"/>
        <v>0</v>
      </c>
      <c r="J33" s="17">
        <f t="shared" si="15"/>
        <v>8939.9948325858131</v>
      </c>
      <c r="K33" s="5">
        <v>5722</v>
      </c>
      <c r="L33" s="5">
        <v>5760</v>
      </c>
      <c r="M33" s="14">
        <f t="shared" si="11"/>
        <v>95.683333333333337</v>
      </c>
      <c r="N33" s="20"/>
      <c r="O33" s="16">
        <f t="shared" si="16"/>
        <v>8938.3829000000005</v>
      </c>
      <c r="P33" s="5" t="s">
        <v>1</v>
      </c>
      <c r="Q33" s="5">
        <v>1943.1</v>
      </c>
      <c r="R33" s="5">
        <v>1942.9</v>
      </c>
      <c r="S33" s="5">
        <f t="shared" si="17"/>
        <v>1943</v>
      </c>
      <c r="T33" s="5">
        <f t="shared" si="18"/>
        <v>8938.3829000000005</v>
      </c>
    </row>
    <row r="34" spans="1:20" x14ac:dyDescent="0.25">
      <c r="A34" s="5">
        <v>20</v>
      </c>
      <c r="B34" s="5">
        <v>3432</v>
      </c>
      <c r="C34" s="5">
        <f t="shared" si="10"/>
        <v>1100</v>
      </c>
      <c r="D34" s="5">
        <v>8.5999999999999993E-2</v>
      </c>
      <c r="E34" s="5">
        <f t="shared" si="12"/>
        <v>0.26539599999999997</v>
      </c>
      <c r="F34" s="5">
        <f>((4507-3432)*SIN(32.26))</f>
        <v>803.40750687440641</v>
      </c>
      <c r="G34" s="5">
        <f t="shared" si="13"/>
        <v>1.5776418272533701</v>
      </c>
      <c r="H34" s="5">
        <v>0.48</v>
      </c>
      <c r="I34" s="5">
        <f t="shared" si="14"/>
        <v>0.97811999999999999</v>
      </c>
      <c r="J34" s="17">
        <f t="shared" si="15"/>
        <v>8949.6438508272513</v>
      </c>
      <c r="K34" s="5">
        <v>6320</v>
      </c>
      <c r="L34" s="5">
        <v>6382</v>
      </c>
      <c r="M34" s="14">
        <f t="shared" si="11"/>
        <v>105.85</v>
      </c>
      <c r="N34" s="20"/>
      <c r="O34" s="16">
        <f t="shared" si="16"/>
        <v>8947.3534849999996</v>
      </c>
      <c r="P34" s="5" t="s">
        <v>2</v>
      </c>
      <c r="Q34" s="5">
        <v>1945.3</v>
      </c>
      <c r="R34" s="5">
        <v>1944.6</v>
      </c>
      <c r="S34" s="5">
        <f t="shared" si="17"/>
        <v>1944.9499999999998</v>
      </c>
      <c r="T34" s="5">
        <f t="shared" si="18"/>
        <v>8947.3534849999996</v>
      </c>
    </row>
    <row r="35" spans="1:20" x14ac:dyDescent="0.25">
      <c r="A35" s="5">
        <v>21</v>
      </c>
      <c r="B35" s="5">
        <v>3632</v>
      </c>
      <c r="C35" s="5">
        <f t="shared" si="10"/>
        <v>900</v>
      </c>
      <c r="D35" s="5">
        <v>7.2999999999999995E-2</v>
      </c>
      <c r="E35" s="5">
        <f t="shared" si="12"/>
        <v>0.22527799999999998</v>
      </c>
      <c r="F35" s="5">
        <f>((4507-3632)*SIN(32.26))</f>
        <v>653.93634280474942</v>
      </c>
      <c r="G35" s="5">
        <f t="shared" si="13"/>
        <v>1.2841270686946036</v>
      </c>
      <c r="H35" s="5">
        <v>0.745</v>
      </c>
      <c r="I35" s="5">
        <f t="shared" si="14"/>
        <v>1.51812375</v>
      </c>
      <c r="J35" s="17">
        <f t="shared" si="15"/>
        <v>8955.0060096242505</v>
      </c>
      <c r="K35" s="5">
        <v>8425</v>
      </c>
      <c r="L35" s="5">
        <v>8484</v>
      </c>
      <c r="M35" s="14">
        <f t="shared" si="11"/>
        <v>140.90833333333333</v>
      </c>
      <c r="N35" s="20">
        <f>(N64-N61)/80</f>
        <v>1.4583333333334281E-2</v>
      </c>
      <c r="O35" s="16">
        <f>(T35-(M35*N35))</f>
        <v>8952.4290368055554</v>
      </c>
      <c r="P35" s="5" t="s">
        <v>0</v>
      </c>
      <c r="Q35" s="5">
        <v>1946.7</v>
      </c>
      <c r="R35" s="5">
        <v>1946.3</v>
      </c>
      <c r="S35" s="5">
        <f t="shared" si="17"/>
        <v>1946.5</v>
      </c>
      <c r="T35" s="5">
        <f t="shared" si="18"/>
        <v>8954.4839499999998</v>
      </c>
    </row>
    <row r="36" spans="1:20" x14ac:dyDescent="0.25">
      <c r="A36" s="5">
        <v>22</v>
      </c>
      <c r="B36" s="5">
        <v>3832</v>
      </c>
      <c r="C36" s="5">
        <f t="shared" si="10"/>
        <v>700</v>
      </c>
      <c r="D36" s="5">
        <v>4.2000000000000003E-2</v>
      </c>
      <c r="E36" s="5">
        <f t="shared" si="12"/>
        <v>0.129612</v>
      </c>
      <c r="F36" s="5">
        <f>((4507-3832)*SIN(32.26))</f>
        <v>504.46517873509242</v>
      </c>
      <c r="G36" s="5">
        <f t="shared" si="13"/>
        <v>0.99061231013583706</v>
      </c>
      <c r="H36" s="5">
        <v>0.77100000000000002</v>
      </c>
      <c r="I36" s="5">
        <f t="shared" si="14"/>
        <v>1.57110525</v>
      </c>
      <c r="J36" s="17">
        <f t="shared" si="15"/>
        <v>8955.5359655601333</v>
      </c>
      <c r="K36" s="5">
        <v>8932</v>
      </c>
      <c r="L36" s="5">
        <v>8984</v>
      </c>
      <c r="M36" s="14">
        <f t="shared" si="11"/>
        <v>149.30000000000001</v>
      </c>
      <c r="N36" s="20"/>
      <c r="O36" s="16">
        <f t="shared" ref="O36:O40" si="19">(T36-(M36*N36))</f>
        <v>8953.1038599999993</v>
      </c>
      <c r="P36" s="5" t="s">
        <v>0</v>
      </c>
      <c r="Q36" s="5">
        <v>1946.3</v>
      </c>
      <c r="R36" s="5">
        <v>1946.1</v>
      </c>
      <c r="S36" s="5">
        <f t="shared" si="17"/>
        <v>1946.1999999999998</v>
      </c>
      <c r="T36" s="5">
        <f t="shared" si="18"/>
        <v>8953.1038599999993</v>
      </c>
    </row>
    <row r="37" spans="1:20" x14ac:dyDescent="0.25">
      <c r="A37" s="5">
        <v>23</v>
      </c>
      <c r="B37" s="5">
        <v>4032</v>
      </c>
      <c r="C37" s="5">
        <f t="shared" si="10"/>
        <v>500</v>
      </c>
      <c r="D37" s="5">
        <v>6.5000000000000002E-2</v>
      </c>
      <c r="E37" s="5">
        <f t="shared" si="12"/>
        <v>0.20058999999999999</v>
      </c>
      <c r="F37" s="5">
        <f>((4507-4032)*SIN(32.26))</f>
        <v>354.99401466543543</v>
      </c>
      <c r="G37" s="5">
        <f t="shared" si="13"/>
        <v>0.69709755157707054</v>
      </c>
      <c r="H37" s="5">
        <v>0.91600000000000004</v>
      </c>
      <c r="I37" s="5">
        <f t="shared" si="14"/>
        <v>1.866579</v>
      </c>
      <c r="J37" s="17">
        <f t="shared" si="15"/>
        <v>8955.4669465515763</v>
      </c>
      <c r="K37" s="5">
        <v>9646</v>
      </c>
      <c r="L37" s="5">
        <v>9693</v>
      </c>
      <c r="M37" s="14">
        <f t="shared" si="11"/>
        <v>161.15833333333333</v>
      </c>
      <c r="N37" s="20"/>
      <c r="O37" s="16">
        <f t="shared" si="19"/>
        <v>8953.1038599999993</v>
      </c>
      <c r="P37" s="5" t="s">
        <v>1</v>
      </c>
      <c r="Q37" s="5">
        <v>1946.3</v>
      </c>
      <c r="R37" s="5">
        <v>1946.1</v>
      </c>
      <c r="S37" s="5">
        <f t="shared" si="17"/>
        <v>1946.1999999999998</v>
      </c>
      <c r="T37" s="5">
        <f t="shared" si="18"/>
        <v>8953.1038599999993</v>
      </c>
    </row>
    <row r="38" spans="1:20" x14ac:dyDescent="0.25">
      <c r="A38" s="5">
        <v>24</v>
      </c>
      <c r="B38" s="5">
        <v>4232</v>
      </c>
      <c r="C38" s="5">
        <f t="shared" si="10"/>
        <v>300</v>
      </c>
      <c r="D38" s="5">
        <v>7.6999999999999999E-2</v>
      </c>
      <c r="E38" s="5">
        <f t="shared" si="12"/>
        <v>0.23762199999999997</v>
      </c>
      <c r="F38" s="5">
        <f>((4507-4232)*SIN(32.26))</f>
        <v>205.52285059577841</v>
      </c>
      <c r="G38" s="5">
        <f t="shared" si="13"/>
        <v>0.40358279301830396</v>
      </c>
      <c r="H38" s="5">
        <v>0.81100000000000005</v>
      </c>
      <c r="I38" s="5">
        <f t="shared" si="14"/>
        <v>1.65261525</v>
      </c>
      <c r="J38" s="17">
        <f t="shared" si="15"/>
        <v>8964.1230360430163</v>
      </c>
      <c r="K38" s="5">
        <v>10020</v>
      </c>
      <c r="L38" s="5">
        <v>10186</v>
      </c>
      <c r="M38" s="14">
        <f t="shared" si="11"/>
        <v>168.38333333333333</v>
      </c>
      <c r="N38" s="20"/>
      <c r="O38" s="16">
        <f t="shared" si="19"/>
        <v>8962.3044599999994</v>
      </c>
      <c r="P38" s="5" t="s">
        <v>2</v>
      </c>
      <c r="Q38" s="5">
        <v>1948.4</v>
      </c>
      <c r="R38" s="5">
        <v>1948</v>
      </c>
      <c r="S38" s="5">
        <f t="shared" si="17"/>
        <v>1948.2</v>
      </c>
      <c r="T38" s="5">
        <f t="shared" si="18"/>
        <v>8962.3044599999994</v>
      </c>
    </row>
    <row r="39" spans="1:20" x14ac:dyDescent="0.25">
      <c r="A39" s="5">
        <v>25</v>
      </c>
      <c r="B39" s="5">
        <v>4432</v>
      </c>
      <c r="C39" s="5">
        <f t="shared" si="10"/>
        <v>100</v>
      </c>
      <c r="D39" s="5">
        <v>5.8000000000000003E-2</v>
      </c>
      <c r="E39" s="5">
        <f t="shared" si="12"/>
        <v>0.17898800000000001</v>
      </c>
      <c r="F39" s="5">
        <f>((4507-4432)*SIN(32.26))</f>
        <v>56.051686526121379</v>
      </c>
      <c r="G39" s="5">
        <f t="shared" si="13"/>
        <v>0.11006803445953744</v>
      </c>
      <c r="H39" s="5">
        <v>0.85099999999999998</v>
      </c>
      <c r="I39" s="5">
        <f t="shared" si="14"/>
        <v>1.73412525</v>
      </c>
      <c r="J39" s="17">
        <f t="shared" si="15"/>
        <v>8968.5699652844578</v>
      </c>
      <c r="K39" s="5">
        <v>10705</v>
      </c>
      <c r="L39" s="5">
        <v>10783</v>
      </c>
      <c r="M39" s="14">
        <f t="shared" si="11"/>
        <v>179.06666666666666</v>
      </c>
      <c r="N39" s="20"/>
      <c r="O39" s="16">
        <f t="shared" si="19"/>
        <v>8966.9047599999994</v>
      </c>
      <c r="P39" s="5" t="s">
        <v>0</v>
      </c>
      <c r="Q39" s="5">
        <v>1948.6</v>
      </c>
      <c r="R39" s="5">
        <v>1949.8</v>
      </c>
      <c r="S39" s="5">
        <f t="shared" si="17"/>
        <v>1949.1999999999998</v>
      </c>
      <c r="T39" s="5">
        <f t="shared" si="18"/>
        <v>8966.9047599999994</v>
      </c>
    </row>
    <row r="40" spans="1:20" x14ac:dyDescent="0.25">
      <c r="A40" s="5">
        <v>26</v>
      </c>
      <c r="B40" s="5">
        <v>4507</v>
      </c>
      <c r="C40" s="5">
        <f>4532-B40</f>
        <v>25</v>
      </c>
      <c r="D40" s="5">
        <v>4.9000000000000002E-2</v>
      </c>
      <c r="E40" s="5">
        <f t="shared" si="12"/>
        <v>0.15121399999999999</v>
      </c>
      <c r="F40" s="5">
        <f>((4507-4507)*SIN(32.26))</f>
        <v>0</v>
      </c>
      <c r="G40" s="5">
        <f t="shared" si="13"/>
        <v>0</v>
      </c>
      <c r="H40" s="5">
        <v>0.90600000000000003</v>
      </c>
      <c r="I40" s="5">
        <f t="shared" si="14"/>
        <v>1.8462015000000001</v>
      </c>
      <c r="J40" s="17">
        <f t="shared" si="15"/>
        <v>8965.1495225000017</v>
      </c>
      <c r="K40" s="5">
        <v>11286</v>
      </c>
      <c r="L40" s="5">
        <v>11324</v>
      </c>
      <c r="M40" s="14">
        <f t="shared" si="11"/>
        <v>188.41666666666666</v>
      </c>
      <c r="N40" s="20"/>
      <c r="O40" s="16">
        <f t="shared" si="19"/>
        <v>8963.4545350000008</v>
      </c>
      <c r="P40" s="5" t="s">
        <v>0</v>
      </c>
      <c r="Q40" s="5">
        <v>1948.5</v>
      </c>
      <c r="R40" s="5">
        <v>1948.4</v>
      </c>
      <c r="S40" s="5">
        <f t="shared" si="17"/>
        <v>1948.45</v>
      </c>
      <c r="T40" s="5">
        <f t="shared" si="18"/>
        <v>8963.4545350000008</v>
      </c>
    </row>
    <row r="43" spans="1:20" x14ac:dyDescent="0.25">
      <c r="A43" s="8" t="s">
        <v>17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7" t="s">
        <v>18</v>
      </c>
      <c r="B44" s="5" t="s">
        <v>19</v>
      </c>
      <c r="C44" s="5" t="s">
        <v>21</v>
      </c>
      <c r="D44" s="5" t="s">
        <v>20</v>
      </c>
    </row>
    <row r="46" spans="1:20" s="7" customFormat="1" x14ac:dyDescent="0.25">
      <c r="A46" s="10" t="s">
        <v>22</v>
      </c>
      <c r="B46" s="7" t="s">
        <v>23</v>
      </c>
      <c r="C46" s="7" t="s">
        <v>24</v>
      </c>
      <c r="D46" s="7" t="s">
        <v>54</v>
      </c>
      <c r="E46" s="7" t="s">
        <v>55</v>
      </c>
      <c r="K46" s="7" t="s">
        <v>3</v>
      </c>
      <c r="L46" s="7" t="s">
        <v>25</v>
      </c>
      <c r="M46" s="7" t="s">
        <v>45</v>
      </c>
      <c r="N46" s="7" t="s">
        <v>46</v>
      </c>
      <c r="O46" s="7" t="s">
        <v>51</v>
      </c>
    </row>
    <row r="47" spans="1:20" x14ac:dyDescent="0.25">
      <c r="A47" s="11">
        <v>41760</v>
      </c>
      <c r="B47" s="12">
        <v>0.50763888888888886</v>
      </c>
      <c r="C47" s="5">
        <v>0</v>
      </c>
      <c r="D47" s="5">
        <f>55/1000</f>
        <v>5.5E-2</v>
      </c>
      <c r="E47" s="5">
        <f>(3.086*D47)</f>
        <v>0.16972999999999999</v>
      </c>
      <c r="K47" s="5" t="s">
        <v>10</v>
      </c>
      <c r="L47" s="5">
        <v>1951.9</v>
      </c>
      <c r="M47" s="19">
        <f>0</f>
        <v>0</v>
      </c>
      <c r="N47" s="21">
        <f>SUM(L47:L50)/4</f>
        <v>1952.075</v>
      </c>
      <c r="O47" s="21">
        <f>N47*4.6003</f>
        <v>8980.1306225000008</v>
      </c>
    </row>
    <row r="48" spans="1:20" x14ac:dyDescent="0.25">
      <c r="A48" s="11">
        <v>41760</v>
      </c>
      <c r="B48" s="13">
        <v>0.50937500000000002</v>
      </c>
      <c r="C48" s="5">
        <v>150</v>
      </c>
      <c r="D48" s="5">
        <f t="shared" ref="D48:D50" si="20">55/1000</f>
        <v>5.5E-2</v>
      </c>
      <c r="E48" s="5">
        <f t="shared" ref="E48:E66" si="21">(3.086*D48)</f>
        <v>0.16972999999999999</v>
      </c>
      <c r="K48" s="5" t="s">
        <v>10</v>
      </c>
      <c r="L48" s="5">
        <v>1952.1</v>
      </c>
      <c r="M48" s="19"/>
      <c r="N48" s="21"/>
      <c r="O48" s="21"/>
    </row>
    <row r="49" spans="1:20" x14ac:dyDescent="0.25">
      <c r="A49" s="11">
        <v>41760</v>
      </c>
      <c r="B49" s="13">
        <v>0.50966435185185188</v>
      </c>
      <c r="C49" s="5">
        <v>175</v>
      </c>
      <c r="D49" s="5">
        <f t="shared" si="20"/>
        <v>5.5E-2</v>
      </c>
      <c r="E49" s="5">
        <f t="shared" si="21"/>
        <v>0.16972999999999999</v>
      </c>
      <c r="K49" s="5" t="s">
        <v>10</v>
      </c>
      <c r="L49" s="5">
        <v>1952.3</v>
      </c>
      <c r="M49" s="19"/>
      <c r="N49" s="21"/>
      <c r="O49" s="21"/>
    </row>
    <row r="50" spans="1:20" x14ac:dyDescent="0.25">
      <c r="A50" s="11">
        <v>41760</v>
      </c>
      <c r="B50" s="13">
        <v>0.51006944444444446</v>
      </c>
      <c r="C50" s="5">
        <v>210</v>
      </c>
      <c r="D50" s="5">
        <f t="shared" si="20"/>
        <v>5.5E-2</v>
      </c>
      <c r="E50" s="5">
        <f t="shared" si="21"/>
        <v>0.16972999999999999</v>
      </c>
      <c r="K50" s="5" t="s">
        <v>10</v>
      </c>
      <c r="L50" s="5">
        <v>1952</v>
      </c>
      <c r="M50" s="19"/>
      <c r="N50" s="21"/>
      <c r="O50" s="21"/>
    </row>
    <row r="51" spans="1:20" x14ac:dyDescent="0.25">
      <c r="A51" s="11">
        <v>41760</v>
      </c>
      <c r="B51" s="13">
        <v>0.58046296296296296</v>
      </c>
      <c r="C51" s="5">
        <v>6292</v>
      </c>
      <c r="D51" s="5">
        <f>60/1000</f>
        <v>0.06</v>
      </c>
      <c r="E51" s="5">
        <f t="shared" si="21"/>
        <v>0.18515999999999999</v>
      </c>
      <c r="K51" s="5" t="s">
        <v>11</v>
      </c>
      <c r="L51" s="5">
        <v>1938.5</v>
      </c>
      <c r="M51" s="19">
        <f>(C51+C52)/120</f>
        <v>105.63333333333334</v>
      </c>
      <c r="N51" s="21">
        <f>SUM(L51:L52)/2</f>
        <v>1938.45</v>
      </c>
      <c r="O51" s="21">
        <f>N51*4.6003</f>
        <v>8917.4515350000001</v>
      </c>
    </row>
    <row r="52" spans="1:20" x14ac:dyDescent="0.25">
      <c r="A52" s="11">
        <v>41760</v>
      </c>
      <c r="B52" s="13">
        <v>0.58152777777777775</v>
      </c>
      <c r="C52" s="5">
        <v>6384</v>
      </c>
      <c r="D52" s="5">
        <f>60/1000</f>
        <v>0.06</v>
      </c>
      <c r="E52" s="5">
        <f t="shared" si="21"/>
        <v>0.18515999999999999</v>
      </c>
      <c r="K52" s="5" t="s">
        <v>11</v>
      </c>
      <c r="L52" s="5">
        <v>1938.4</v>
      </c>
      <c r="M52" s="19"/>
      <c r="N52" s="21"/>
      <c r="O52" s="21"/>
    </row>
    <row r="53" spans="1:20" x14ac:dyDescent="0.25">
      <c r="A53" s="11">
        <v>41760</v>
      </c>
      <c r="B53" s="13">
        <v>0.67730324074074078</v>
      </c>
      <c r="C53" s="5">
        <v>14659</v>
      </c>
      <c r="D53" s="5">
        <v>6.2E-2</v>
      </c>
      <c r="E53" s="5">
        <f t="shared" si="21"/>
        <v>0.191332</v>
      </c>
      <c r="K53" s="5" t="s">
        <v>10</v>
      </c>
      <c r="L53" s="5">
        <v>1941.6</v>
      </c>
      <c r="M53" s="19">
        <f>(C53+C54+C55+C56)/240</f>
        <v>246.15833333333333</v>
      </c>
      <c r="N53" s="21">
        <f>SUM(L53:L56)/4</f>
        <v>1940.4499999999998</v>
      </c>
      <c r="O53" s="21">
        <f>N53*4.6003</f>
        <v>8926.6521349999985</v>
      </c>
    </row>
    <row r="54" spans="1:20" x14ac:dyDescent="0.25">
      <c r="A54" s="11">
        <v>41760</v>
      </c>
      <c r="B54" s="13">
        <v>0.67793981481481491</v>
      </c>
      <c r="C54" s="5">
        <v>14714</v>
      </c>
      <c r="D54" s="5">
        <v>6.2E-2</v>
      </c>
      <c r="E54" s="5">
        <f t="shared" si="21"/>
        <v>0.191332</v>
      </c>
      <c r="K54" s="5" t="s">
        <v>10</v>
      </c>
      <c r="L54" s="5">
        <v>1940.1</v>
      </c>
      <c r="M54" s="19"/>
      <c r="N54" s="21"/>
      <c r="O54" s="21"/>
    </row>
    <row r="55" spans="1:20" x14ac:dyDescent="0.25">
      <c r="A55" s="11">
        <v>41760</v>
      </c>
      <c r="B55" s="13">
        <v>0.67910879629629628</v>
      </c>
      <c r="C55" s="5">
        <v>14815</v>
      </c>
      <c r="D55" s="5">
        <v>6.2E-2</v>
      </c>
      <c r="E55" s="5">
        <f t="shared" si="21"/>
        <v>0.191332</v>
      </c>
      <c r="K55" s="5" t="s">
        <v>10</v>
      </c>
      <c r="L55" s="5">
        <v>1939.2</v>
      </c>
      <c r="M55" s="19"/>
      <c r="N55" s="21"/>
      <c r="O55" s="21"/>
    </row>
    <row r="56" spans="1:20" x14ac:dyDescent="0.25">
      <c r="A56" s="11">
        <v>41760</v>
      </c>
      <c r="B56" s="13">
        <v>0.67997685185185175</v>
      </c>
      <c r="C56" s="5">
        <v>14890</v>
      </c>
      <c r="D56" s="5">
        <v>6.2E-2</v>
      </c>
      <c r="E56" s="5">
        <f t="shared" si="21"/>
        <v>0.191332</v>
      </c>
      <c r="K56" s="5" t="s">
        <v>10</v>
      </c>
      <c r="L56" s="5">
        <v>1940.9</v>
      </c>
      <c r="M56" s="19"/>
      <c r="N56" s="21"/>
      <c r="O56" s="21"/>
    </row>
    <row r="57" spans="1:20" x14ac:dyDescent="0.25">
      <c r="A57" s="11"/>
      <c r="M57" s="14"/>
      <c r="N57" s="15"/>
      <c r="O57" s="15"/>
      <c r="S57" s="12"/>
      <c r="T57" s="12"/>
    </row>
    <row r="58" spans="1:20" x14ac:dyDescent="0.25">
      <c r="A58" s="11">
        <v>41761</v>
      </c>
      <c r="B58" s="13">
        <v>4.5833333333333337E-2</v>
      </c>
      <c r="C58" s="5">
        <v>0</v>
      </c>
      <c r="D58" s="5">
        <v>7.0999999999999994E-2</v>
      </c>
      <c r="E58" s="5">
        <f t="shared" si="21"/>
        <v>0.21910599999999997</v>
      </c>
      <c r="K58" s="5" t="s">
        <v>0</v>
      </c>
      <c r="L58" s="5">
        <v>1941.1</v>
      </c>
      <c r="M58" s="19">
        <f>0</f>
        <v>0</v>
      </c>
      <c r="N58" s="21">
        <f>SUM(L58:L60)/3</f>
        <v>1941.6333333333332</v>
      </c>
      <c r="O58" s="21">
        <f>N58*4.6003</f>
        <v>8932.0958233333331</v>
      </c>
    </row>
    <row r="59" spans="1:20" x14ac:dyDescent="0.25">
      <c r="A59" s="11">
        <v>41761</v>
      </c>
      <c r="B59" s="13">
        <v>4.9108796296296296E-2</v>
      </c>
      <c r="C59" s="5">
        <v>403</v>
      </c>
      <c r="D59" s="5">
        <v>7.0999999999999994E-2</v>
      </c>
      <c r="E59" s="5">
        <f t="shared" si="21"/>
        <v>0.21910599999999997</v>
      </c>
      <c r="K59" s="5" t="s">
        <v>2</v>
      </c>
      <c r="L59" s="5">
        <v>1942.4</v>
      </c>
      <c r="M59" s="19"/>
      <c r="N59" s="21"/>
      <c r="O59" s="21"/>
    </row>
    <row r="60" spans="1:20" x14ac:dyDescent="0.25">
      <c r="A60" s="11">
        <v>41761</v>
      </c>
      <c r="D60" s="5">
        <v>7.0999999999999994E-2</v>
      </c>
      <c r="E60" s="5">
        <f t="shared" si="21"/>
        <v>0.21910599999999997</v>
      </c>
      <c r="K60" s="5" t="s">
        <v>1</v>
      </c>
      <c r="L60" s="5">
        <v>1941.4</v>
      </c>
      <c r="M60" s="19"/>
      <c r="N60" s="21"/>
      <c r="O60" s="21"/>
    </row>
    <row r="61" spans="1:20" x14ac:dyDescent="0.25">
      <c r="A61" s="11">
        <v>41761</v>
      </c>
      <c r="B61" s="13">
        <v>0.12997685185185184</v>
      </c>
      <c r="C61" s="5">
        <v>7270</v>
      </c>
      <c r="D61" s="5">
        <v>7.0000000000000007E-2</v>
      </c>
      <c r="E61" s="5">
        <f t="shared" si="21"/>
        <v>0.21602000000000002</v>
      </c>
      <c r="K61" s="5" t="s">
        <v>2</v>
      </c>
      <c r="L61" s="5">
        <v>1942.2</v>
      </c>
      <c r="M61" s="19">
        <f>(C61+C62+C63)/180</f>
        <v>123.36111111111111</v>
      </c>
      <c r="N61" s="21">
        <f>SUM(L61:L63)/3</f>
        <v>1941.7</v>
      </c>
      <c r="O61" s="21">
        <f>N61*4.6003</f>
        <v>8932.4025099999999</v>
      </c>
    </row>
    <row r="62" spans="1:20" x14ac:dyDescent="0.25">
      <c r="A62" s="11">
        <v>41761</v>
      </c>
      <c r="B62" s="13">
        <v>0.13168981481481482</v>
      </c>
      <c r="C62" s="5">
        <v>7418</v>
      </c>
      <c r="D62" s="5">
        <v>7.0000000000000007E-2</v>
      </c>
      <c r="E62" s="5">
        <f t="shared" si="21"/>
        <v>0.21602000000000002</v>
      </c>
      <c r="K62" s="5" t="s">
        <v>4</v>
      </c>
      <c r="L62" s="5">
        <v>1941.7</v>
      </c>
      <c r="M62" s="19"/>
      <c r="N62" s="21"/>
      <c r="O62" s="21"/>
    </row>
    <row r="63" spans="1:20" x14ac:dyDescent="0.25">
      <c r="A63" s="11">
        <v>41761</v>
      </c>
      <c r="B63" s="13">
        <v>0.13283564814814816</v>
      </c>
      <c r="C63" s="5">
        <v>7517</v>
      </c>
      <c r="D63" s="5">
        <v>7.0000000000000007E-2</v>
      </c>
      <c r="E63" s="5">
        <f t="shared" si="21"/>
        <v>0.21602000000000002</v>
      </c>
      <c r="K63" s="5" t="s">
        <v>5</v>
      </c>
      <c r="L63" s="5">
        <v>1941.2</v>
      </c>
      <c r="M63" s="19"/>
      <c r="N63" s="21"/>
      <c r="O63" s="21"/>
    </row>
    <row r="64" spans="1:20" x14ac:dyDescent="0.25">
      <c r="A64" s="11">
        <v>41761</v>
      </c>
      <c r="B64" s="13">
        <v>0.18631944444444445</v>
      </c>
      <c r="C64" s="5">
        <v>12138</v>
      </c>
      <c r="D64" s="5">
        <v>7.0000000000000007E-2</v>
      </c>
      <c r="E64" s="5">
        <f t="shared" si="21"/>
        <v>0.21602000000000002</v>
      </c>
      <c r="K64" s="5" t="s">
        <v>0</v>
      </c>
      <c r="L64" s="5">
        <v>1943</v>
      </c>
      <c r="M64" s="19">
        <f>(C64+C65+C66)/180</f>
        <v>203.41666666666666</v>
      </c>
      <c r="N64" s="21">
        <f>SUM(L64:L66)/3</f>
        <v>1942.8666666666668</v>
      </c>
      <c r="O64" s="21">
        <f>N64*4.6003</f>
        <v>8937.7695266666669</v>
      </c>
    </row>
    <row r="65" spans="1:15" x14ac:dyDescent="0.25">
      <c r="A65" s="11">
        <v>41761</v>
      </c>
      <c r="B65" s="13">
        <v>0.18712962962962965</v>
      </c>
      <c r="C65" s="5">
        <v>12208</v>
      </c>
      <c r="D65" s="5">
        <v>7.0000000000000007E-2</v>
      </c>
      <c r="E65" s="5">
        <f t="shared" si="21"/>
        <v>0.21602000000000002</v>
      </c>
      <c r="K65" s="5" t="s">
        <v>0</v>
      </c>
      <c r="L65" s="5">
        <v>1942.7</v>
      </c>
      <c r="M65" s="19"/>
      <c r="N65" s="21"/>
      <c r="O65" s="21"/>
    </row>
    <row r="66" spans="1:15" x14ac:dyDescent="0.25">
      <c r="A66" s="11">
        <v>41761</v>
      </c>
      <c r="B66" s="13">
        <v>0.18783564814814815</v>
      </c>
      <c r="C66" s="5">
        <v>12269</v>
      </c>
      <c r="D66" s="5">
        <v>7.0000000000000007E-2</v>
      </c>
      <c r="E66" s="5">
        <f t="shared" si="21"/>
        <v>0.21602000000000002</v>
      </c>
      <c r="K66" s="5" t="s">
        <v>0</v>
      </c>
      <c r="L66" s="5">
        <v>1942.9</v>
      </c>
      <c r="M66" s="19"/>
      <c r="N66" s="21"/>
      <c r="O66" s="21"/>
    </row>
  </sheetData>
  <mergeCells count="22">
    <mergeCell ref="O64:O66"/>
    <mergeCell ref="M58:M60"/>
    <mergeCell ref="M61:M63"/>
    <mergeCell ref="M64:M66"/>
    <mergeCell ref="N64:N66"/>
    <mergeCell ref="N58:N60"/>
    <mergeCell ref="N61:N63"/>
    <mergeCell ref="O53:O56"/>
    <mergeCell ref="O58:O60"/>
    <mergeCell ref="O61:O63"/>
    <mergeCell ref="B9:T9"/>
    <mergeCell ref="M47:M50"/>
    <mergeCell ref="M51:M52"/>
    <mergeCell ref="M53:M56"/>
    <mergeCell ref="N12:N22"/>
    <mergeCell ref="N27:N34"/>
    <mergeCell ref="N35:N40"/>
    <mergeCell ref="O47:O50"/>
    <mergeCell ref="O51:O52"/>
    <mergeCell ref="N47:N50"/>
    <mergeCell ref="N51:N52"/>
    <mergeCell ref="N53:N56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4" sqref="B4:B15"/>
    </sheetView>
  </sheetViews>
  <sheetFormatPr defaultRowHeight="15.75" x14ac:dyDescent="0.25"/>
  <sheetData>
    <row r="1" spans="1:2" x14ac:dyDescent="0.25">
      <c r="A1" t="s">
        <v>49</v>
      </c>
    </row>
    <row r="2" spans="1:2" x14ac:dyDescent="0.25">
      <c r="B2" t="s">
        <v>48</v>
      </c>
    </row>
    <row r="3" spans="1:2" x14ac:dyDescent="0.25">
      <c r="B3" s="7" t="s">
        <v>47</v>
      </c>
    </row>
    <row r="4" spans="1:2" x14ac:dyDescent="0.25">
      <c r="B4" s="14"/>
    </row>
    <row r="5" spans="1:2" x14ac:dyDescent="0.25">
      <c r="B5" s="14"/>
    </row>
    <row r="6" spans="1:2" x14ac:dyDescent="0.25">
      <c r="B6" s="14"/>
    </row>
    <row r="7" spans="1:2" x14ac:dyDescent="0.25">
      <c r="B7" s="14"/>
    </row>
    <row r="8" spans="1:2" x14ac:dyDescent="0.25">
      <c r="B8" s="14"/>
    </row>
    <row r="9" spans="1:2" x14ac:dyDescent="0.25">
      <c r="B9" s="14"/>
    </row>
    <row r="10" spans="1:2" x14ac:dyDescent="0.25">
      <c r="B10" s="14"/>
    </row>
    <row r="11" spans="1:2" x14ac:dyDescent="0.25">
      <c r="B11" s="14"/>
    </row>
    <row r="12" spans="1:2" x14ac:dyDescent="0.25">
      <c r="B12" s="14"/>
    </row>
    <row r="13" spans="1:2" x14ac:dyDescent="0.25">
      <c r="B13" s="14"/>
    </row>
    <row r="14" spans="1:2" x14ac:dyDescent="0.25">
      <c r="B14" s="14"/>
    </row>
    <row r="15" spans="1:2" x14ac:dyDescent="0.25">
      <c r="B1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Hayward</dc:creator>
  <cp:lastModifiedBy>Kevin Ramlakhan</cp:lastModifiedBy>
  <dcterms:created xsi:type="dcterms:W3CDTF">2014-05-02T21:41:22Z</dcterms:created>
  <dcterms:modified xsi:type="dcterms:W3CDTF">2015-05-03T15:28:19Z</dcterms:modified>
</cp:coreProperties>
</file>